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UR INITIATIVES\Housing Finance\Cost of market rate housing\"/>
    </mc:Choice>
  </mc:AlternateContent>
  <bookViews>
    <workbookView xWindow="0" yWindow="0" windowWidth="25200" windowHeight="11595" activeTab="1"/>
  </bookViews>
  <sheets>
    <sheet name="Read this" sheetId="4" r:id="rId1"/>
    <sheet name="Financial model" sheetId="3" r:id="rId2"/>
  </sheets>
  <calcPr calcId="152511" calcMode="autoNoTable"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3" l="1"/>
  <c r="E4" i="3"/>
  <c r="E5" i="3"/>
  <c r="E8" i="3"/>
  <c r="E9" i="3"/>
  <c r="E10" i="3"/>
  <c r="E11" i="3"/>
  <c r="E13" i="3"/>
  <c r="E14" i="3"/>
  <c r="E15" i="3"/>
  <c r="E17" i="3"/>
  <c r="E21" i="3"/>
  <c r="E24" i="3"/>
  <c r="E25" i="3"/>
  <c r="E27" i="3"/>
  <c r="E30" i="3"/>
  <c r="E29" i="3"/>
  <c r="F29" i="3"/>
  <c r="F24" i="3"/>
  <c r="F25" i="3"/>
  <c r="E26" i="3"/>
  <c r="F26" i="3"/>
  <c r="F27" i="3"/>
  <c r="F30" i="3"/>
  <c r="E33" i="3"/>
  <c r="E32" i="3"/>
  <c r="F32" i="3"/>
  <c r="F33" i="3"/>
  <c r="E35" i="3"/>
  <c r="F21" i="3"/>
  <c r="F4" i="3"/>
  <c r="F5" i="3"/>
  <c r="F8" i="3"/>
  <c r="F9" i="3"/>
  <c r="F10" i="3"/>
  <c r="F11" i="3"/>
  <c r="F13" i="3"/>
  <c r="F14" i="3"/>
  <c r="F15" i="3"/>
  <c r="F16" i="3"/>
  <c r="F17" i="3"/>
  <c r="F3" i="3"/>
  <c r="E38" i="3"/>
  <c r="E39" i="3"/>
</calcChain>
</file>

<file path=xl/sharedStrings.xml><?xml version="1.0" encoding="utf-8"?>
<sst xmlns="http://schemas.openxmlformats.org/spreadsheetml/2006/main" count="81" uniqueCount="66">
  <si>
    <t>Hard costs</t>
  </si>
  <si>
    <t>Standard</t>
  </si>
  <si>
    <t>Astoria</t>
  </si>
  <si>
    <t>Bushwick</t>
  </si>
  <si>
    <t>Bed Stuy</t>
  </si>
  <si>
    <t>Williamsburg</t>
  </si>
  <si>
    <t>East Harlem</t>
  </si>
  <si>
    <t>Morrisania</t>
  </si>
  <si>
    <t>Aaverage 2BR size (sf)</t>
  </si>
  <si>
    <t>Annual rent required</t>
  </si>
  <si>
    <t>MONTHLY RENT REQUIRED</t>
  </si>
  <si>
    <t>33% additional</t>
  </si>
  <si>
    <t>Building height</t>
  </si>
  <si>
    <t>High rise</t>
  </si>
  <si>
    <t>Mid rise (block &amp; plank)</t>
  </si>
  <si>
    <t xml:space="preserve">Building height? </t>
  </si>
  <si>
    <r>
      <t>Wages?</t>
    </r>
    <r>
      <rPr>
        <i/>
        <sz val="11"/>
        <color theme="1"/>
        <rFont val="Calibri"/>
        <family val="2"/>
        <scheme val="minor"/>
      </rPr>
      <t xml:space="preserve"> </t>
    </r>
  </si>
  <si>
    <t>Non-prevailing</t>
  </si>
  <si>
    <t>Prevailing</t>
  </si>
  <si>
    <t>TOTAL DEVELOPMENT COSTS (per gross residential sf)</t>
  </si>
  <si>
    <t>Full</t>
  </si>
  <si>
    <t xml:space="preserve">Service? </t>
  </si>
  <si>
    <t>Wages (construction)</t>
  </si>
  <si>
    <t>Level of service</t>
  </si>
  <si>
    <t>Wages (operating)</t>
  </si>
  <si>
    <t>Wages?</t>
  </si>
  <si>
    <t>Land costs</t>
  </si>
  <si>
    <t>User choices</t>
  </si>
  <si>
    <t>Management fee (as % of income after vacancy)</t>
  </si>
  <si>
    <t>Real estate taxes (as % of gross potential rent before vacancy)</t>
  </si>
  <si>
    <t>Vacancy (as % of income after taxes)</t>
  </si>
  <si>
    <t>Developer fee (as % of land, hard &amp; soft costs)</t>
  </si>
  <si>
    <t>DEVELOPMENT BUDGET</t>
  </si>
  <si>
    <t>OPERATING BUDGET</t>
  </si>
  <si>
    <r>
      <t xml:space="preserve">Gross potential rent (adjusted per </t>
    </r>
    <r>
      <rPr>
        <b/>
        <sz val="11"/>
        <color theme="1"/>
        <rFont val="Calibri"/>
        <family val="2"/>
        <scheme val="minor"/>
      </rPr>
      <t>net</t>
    </r>
    <r>
      <rPr>
        <sz val="11"/>
        <color theme="1"/>
        <rFont val="Calibri"/>
        <family val="2"/>
        <scheme val="minor"/>
      </rPr>
      <t xml:space="preserve"> residential sf)</t>
    </r>
  </si>
  <si>
    <t>Government intervention choices</t>
  </si>
  <si>
    <t>Subsidize construction?</t>
  </si>
  <si>
    <t>28% of hard costs (before construction subsidy)</t>
  </si>
  <si>
    <t>Subsidize land cost?</t>
  </si>
  <si>
    <t>Yes</t>
  </si>
  <si>
    <t>No</t>
  </si>
  <si>
    <t>Yield on cost goal (NOI/TDC)</t>
  </si>
  <si>
    <t>Mott Haven</t>
  </si>
  <si>
    <t>Downtown Brooklyn</t>
  </si>
  <si>
    <t>Jamaica</t>
  </si>
  <si>
    <t>Harlem</t>
  </si>
  <si>
    <t>Stapleton</t>
  </si>
  <si>
    <t>East New York</t>
  </si>
  <si>
    <t>Real estate taxes</t>
  </si>
  <si>
    <t>Lower East Side</t>
  </si>
  <si>
    <t>Long Island City</t>
  </si>
  <si>
    <t>$9 per grsf for full or $7.36 per grsf for standard</t>
  </si>
  <si>
    <t>50% subsidy</t>
  </si>
  <si>
    <t>per unit equivalency</t>
  </si>
  <si>
    <t>per gross sf</t>
  </si>
  <si>
    <t>Acquisition</t>
  </si>
  <si>
    <t>Total acquisitions cost</t>
  </si>
  <si>
    <t>Total hard costs</t>
  </si>
  <si>
    <t xml:space="preserve">Soft costs </t>
  </si>
  <si>
    <t>Total construction costs</t>
  </si>
  <si>
    <t>Net operating income required</t>
  </si>
  <si>
    <t>Operating expenses</t>
  </si>
  <si>
    <t>Income after vacancy</t>
  </si>
  <si>
    <t>Income required after taxes, before vacancy</t>
  </si>
  <si>
    <t>Gross potential rent</t>
  </si>
  <si>
    <t>24% additional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</si>
</sst>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rgb="FF222222"/>
      <name val="Consolas"/>
      <family val="3"/>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5"/>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87">
    <xf numFmtId="0" fontId="0" fillId="0" borderId="0" xfId="0"/>
    <xf numFmtId="0" fontId="0" fillId="0" borderId="0" xfId="0" applyBorder="1"/>
    <xf numFmtId="0" fontId="0" fillId="0" borderId="0" xfId="0" applyBorder="1" applyAlignment="1">
      <alignment horizontal="right"/>
    </xf>
    <xf numFmtId="0" fontId="2" fillId="0" borderId="0" xfId="0" applyFont="1"/>
    <xf numFmtId="0" fontId="2" fillId="0" borderId="0" xfId="0" applyFont="1" applyBorder="1" applyAlignment="1">
      <alignment horizontal="right"/>
    </xf>
    <xf numFmtId="0" fontId="2" fillId="0" borderId="0" xfId="0" applyFont="1" applyBorder="1"/>
    <xf numFmtId="0" fontId="0" fillId="0" borderId="0" xfId="0" applyFill="1" applyBorder="1"/>
    <xf numFmtId="0" fontId="0" fillId="0" borderId="1" xfId="0" applyBorder="1"/>
    <xf numFmtId="0" fontId="0" fillId="0" borderId="2" xfId="0" applyBorder="1"/>
    <xf numFmtId="0" fontId="0" fillId="2" borderId="2" xfId="0" applyFont="1" applyFill="1" applyBorder="1" applyAlignment="1">
      <alignment horizontal="right"/>
    </xf>
    <xf numFmtId="0" fontId="0" fillId="0" borderId="1" xfId="0" applyNumberFormat="1" applyBorder="1"/>
    <xf numFmtId="44" fontId="0" fillId="0" borderId="3" xfId="1" applyNumberFormat="1" applyFont="1" applyBorder="1"/>
    <xf numFmtId="0" fontId="2" fillId="0" borderId="4" xfId="0" applyFont="1" applyBorder="1"/>
    <xf numFmtId="44" fontId="0" fillId="0" borderId="0" xfId="0" applyNumberFormat="1"/>
    <xf numFmtId="0" fontId="0" fillId="0" borderId="4" xfId="0" applyNumberFormat="1" applyBorder="1"/>
    <xf numFmtId="44" fontId="0" fillId="0" borderId="5" xfId="1" applyNumberFormat="1" applyFont="1" applyBorder="1"/>
    <xf numFmtId="0" fontId="0" fillId="0" borderId="4" xfId="0" applyBorder="1"/>
    <xf numFmtId="165" fontId="0" fillId="0" borderId="0" xfId="0" applyNumberFormat="1" applyBorder="1"/>
    <xf numFmtId="0" fontId="0" fillId="0" borderId="4" xfId="0" applyBorder="1" applyAlignment="1">
      <alignment horizontal="left" indent="2"/>
    </xf>
    <xf numFmtId="0" fontId="0" fillId="2" borderId="0" xfId="0" applyFill="1" applyBorder="1"/>
    <xf numFmtId="9" fontId="0" fillId="0" borderId="0" xfId="0" applyNumberFormat="1" applyBorder="1" applyAlignment="1">
      <alignment horizontal="right"/>
    </xf>
    <xf numFmtId="9" fontId="0" fillId="0" borderId="0" xfId="1" applyNumberFormat="1" applyFont="1" applyFill="1" applyBorder="1" applyAlignment="1">
      <alignment horizontal="right"/>
    </xf>
    <xf numFmtId="0" fontId="2" fillId="0" borderId="6" xfId="0" applyFont="1" applyBorder="1"/>
    <xf numFmtId="0" fontId="2" fillId="0" borderId="7" xfId="0" applyFont="1" applyBorder="1"/>
    <xf numFmtId="0" fontId="2" fillId="0" borderId="7" xfId="0" applyFont="1" applyBorder="1" applyAlignment="1">
      <alignment horizontal="right"/>
    </xf>
    <xf numFmtId="0" fontId="0" fillId="0" borderId="4" xfId="0" applyFont="1" applyFill="1" applyBorder="1"/>
    <xf numFmtId="0" fontId="0" fillId="0" borderId="6" xfId="0" applyNumberFormat="1" applyBorder="1"/>
    <xf numFmtId="44" fontId="0" fillId="0" borderId="8" xfId="1" applyNumberFormat="1" applyFont="1" applyBorder="1"/>
    <xf numFmtId="44" fontId="0" fillId="0" borderId="0" xfId="1" applyNumberFormat="1" applyFont="1" applyBorder="1"/>
    <xf numFmtId="44" fontId="0" fillId="0" borderId="2" xfId="0" applyNumberFormat="1" applyBorder="1"/>
    <xf numFmtId="44" fontId="0" fillId="0" borderId="0" xfId="0" applyNumberFormat="1" applyBorder="1"/>
    <xf numFmtId="0" fontId="0" fillId="0" borderId="4" xfId="0" applyBorder="1" applyAlignment="1">
      <alignment horizontal="left"/>
    </xf>
    <xf numFmtId="6" fontId="3" fillId="0" borderId="9" xfId="0" applyNumberFormat="1" applyFont="1" applyBorder="1" applyAlignment="1">
      <alignment horizontal="left"/>
    </xf>
    <xf numFmtId="0" fontId="0" fillId="0" borderId="10" xfId="0" applyBorder="1" applyAlignment="1">
      <alignment horizontal="left"/>
    </xf>
    <xf numFmtId="6" fontId="0" fillId="0" borderId="10" xfId="0" applyNumberFormat="1" applyBorder="1" applyAlignment="1">
      <alignment horizontal="left"/>
    </xf>
    <xf numFmtId="0" fontId="0" fillId="0" borderId="10" xfId="0" applyBorder="1" applyAlignment="1">
      <alignment horizontal="right"/>
    </xf>
    <xf numFmtId="6" fontId="3" fillId="0" borderId="10" xfId="0" applyNumberFormat="1" applyFont="1" applyBorder="1" applyAlignment="1">
      <alignment horizontal="left"/>
    </xf>
    <xf numFmtId="0" fontId="3" fillId="0" borderId="10" xfId="0" applyFont="1" applyBorder="1" applyAlignment="1">
      <alignment horizontal="left"/>
    </xf>
    <xf numFmtId="6" fontId="0" fillId="0" borderId="11" xfId="0" applyNumberFormat="1" applyBorder="1" applyAlignment="1">
      <alignment horizontal="left"/>
    </xf>
    <xf numFmtId="44" fontId="2" fillId="0" borderId="0" xfId="1" applyFont="1" applyBorder="1"/>
    <xf numFmtId="0" fontId="2" fillId="0" borderId="0" xfId="0" applyFont="1" applyFill="1" applyBorder="1"/>
    <xf numFmtId="0" fontId="0" fillId="0" borderId="0" xfId="0" applyFont="1" applyFill="1" applyBorder="1"/>
    <xf numFmtId="9" fontId="0" fillId="3" borderId="0" xfId="0" applyNumberFormat="1" applyFill="1" applyBorder="1" applyAlignment="1">
      <alignment horizontal="right"/>
    </xf>
    <xf numFmtId="0" fontId="2" fillId="3" borderId="0" xfId="0" applyFont="1" applyFill="1"/>
    <xf numFmtId="0" fontId="2" fillId="2" borderId="0" xfId="0" applyFont="1" applyFill="1" applyAlignment="1">
      <alignment horizontal="left"/>
    </xf>
    <xf numFmtId="0" fontId="0" fillId="3" borderId="0" xfId="0" applyFill="1" applyBorder="1"/>
    <xf numFmtId="0" fontId="2" fillId="0" borderId="4" xfId="0" applyFont="1" applyBorder="1" applyAlignment="1">
      <alignment horizontal="left"/>
    </xf>
    <xf numFmtId="0" fontId="0" fillId="0" borderId="0" xfId="0" applyFont="1" applyFill="1" applyBorder="1" applyAlignment="1">
      <alignment horizontal="right"/>
    </xf>
    <xf numFmtId="0" fontId="0" fillId="0" borderId="4" xfId="0" applyFont="1" applyBorder="1" applyAlignment="1">
      <alignment horizontal="left" indent="1"/>
    </xf>
    <xf numFmtId="0" fontId="3" fillId="0" borderId="9" xfId="0" applyFont="1" applyBorder="1"/>
    <xf numFmtId="9" fontId="0" fillId="0" borderId="10" xfId="0" applyNumberFormat="1" applyBorder="1" applyAlignment="1">
      <alignment horizontal="left"/>
    </xf>
    <xf numFmtId="0" fontId="0" fillId="0" borderId="10" xfId="0" applyBorder="1"/>
    <xf numFmtId="0" fontId="3" fillId="0" borderId="10" xfId="0" applyFont="1" applyBorder="1"/>
    <xf numFmtId="0" fontId="0" fillId="0" borderId="11" xfId="0" applyBorder="1"/>
    <xf numFmtId="0" fontId="0" fillId="0" borderId="0" xfId="0" applyNumberFormat="1" applyBorder="1"/>
    <xf numFmtId="44" fontId="0" fillId="0" borderId="0" xfId="1" applyFont="1" applyBorder="1"/>
    <xf numFmtId="164" fontId="0" fillId="0" borderId="0" xfId="2" applyNumberFormat="1" applyFont="1"/>
    <xf numFmtId="9" fontId="0" fillId="0" borderId="0" xfId="2" applyFont="1" applyBorder="1"/>
    <xf numFmtId="164" fontId="0" fillId="0" borderId="0" xfId="0" applyNumberFormat="1" applyBorder="1" applyAlignment="1">
      <alignment horizontal="right"/>
    </xf>
    <xf numFmtId="44" fontId="0" fillId="0" borderId="0" xfId="1" applyFont="1" applyFill="1" applyBorder="1"/>
    <xf numFmtId="165" fontId="0" fillId="0" borderId="0" xfId="3" applyNumberFormat="1" applyFont="1" applyBorder="1"/>
    <xf numFmtId="44" fontId="5" fillId="0" borderId="0" xfId="1" applyFont="1" applyFill="1" applyBorder="1"/>
    <xf numFmtId="10" fontId="5" fillId="0" borderId="0" xfId="0" applyNumberFormat="1" applyFont="1" applyFill="1" applyBorder="1"/>
    <xf numFmtId="2" fontId="0" fillId="0" borderId="0" xfId="0" applyNumberFormat="1" applyBorder="1"/>
    <xf numFmtId="44" fontId="0" fillId="0" borderId="2" xfId="1" applyFont="1" applyFill="1" applyBorder="1"/>
    <xf numFmtId="44" fontId="2" fillId="0" borderId="7" xfId="1" applyFont="1" applyBorder="1"/>
    <xf numFmtId="10" fontId="0" fillId="0" borderId="2" xfId="0" applyNumberFormat="1" applyFill="1" applyBorder="1"/>
    <xf numFmtId="44" fontId="2" fillId="0" borderId="7" xfId="0" applyNumberFormat="1" applyFont="1" applyBorder="1"/>
    <xf numFmtId="44" fontId="0" fillId="0" borderId="12" xfId="1" applyFont="1" applyFill="1" applyBorder="1" applyAlignment="1">
      <alignment horizontal="center"/>
    </xf>
    <xf numFmtId="0" fontId="0" fillId="0" borderId="4" xfId="0" applyFont="1" applyBorder="1"/>
    <xf numFmtId="0" fontId="0" fillId="0" borderId="0" xfId="0" applyFont="1" applyBorder="1"/>
    <xf numFmtId="44" fontId="1" fillId="0" borderId="0" xfId="1" applyFont="1" applyBorder="1"/>
    <xf numFmtId="9" fontId="2" fillId="0" borderId="0" xfId="0" applyNumberFormat="1" applyFont="1" applyBorder="1" applyAlignment="1">
      <alignment horizontal="right"/>
    </xf>
    <xf numFmtId="44" fontId="2" fillId="0" borderId="0" xfId="1" applyFont="1" applyFill="1" applyBorder="1"/>
    <xf numFmtId="0" fontId="0" fillId="0" borderId="0" xfId="0" applyFont="1" applyBorder="1" applyAlignment="1">
      <alignment horizontal="right"/>
    </xf>
    <xf numFmtId="9" fontId="0" fillId="0" borderId="2" xfId="0" applyNumberFormat="1" applyBorder="1" applyAlignment="1">
      <alignment horizontal="right"/>
    </xf>
    <xf numFmtId="0" fontId="0" fillId="0" borderId="12" xfId="0" applyBorder="1" applyAlignment="1">
      <alignment horizontal="center"/>
    </xf>
    <xf numFmtId="166" fontId="0" fillId="0" borderId="9" xfId="1" applyNumberFormat="1" applyFont="1" applyFill="1" applyBorder="1"/>
    <xf numFmtId="166" fontId="0" fillId="0" borderId="10" xfId="1" applyNumberFormat="1" applyFont="1" applyFill="1" applyBorder="1"/>
    <xf numFmtId="166" fontId="0" fillId="0" borderId="11" xfId="1" applyNumberFormat="1" applyFont="1" applyFill="1" applyBorder="1"/>
    <xf numFmtId="166" fontId="2" fillId="0" borderId="10" xfId="1" applyNumberFormat="1" applyFont="1" applyFill="1" applyBorder="1"/>
    <xf numFmtId="166" fontId="2" fillId="0" borderId="11" xfId="1" applyNumberFormat="1" applyFont="1" applyFill="1" applyBorder="1"/>
    <xf numFmtId="10" fontId="0" fillId="0" borderId="0" xfId="0" applyNumberFormat="1" applyBorder="1"/>
    <xf numFmtId="166" fontId="4" fillId="0" borderId="0" xfId="0" applyNumberFormat="1" applyFont="1" applyAlignment="1">
      <alignment horizontal="left" vertical="center"/>
    </xf>
    <xf numFmtId="166" fontId="0" fillId="0" borderId="0" xfId="0" applyNumberFormat="1" applyFill="1" applyBorder="1"/>
    <xf numFmtId="166" fontId="0" fillId="0" borderId="0" xfId="0" applyNumberFormat="1" applyBorder="1"/>
    <xf numFmtId="0" fontId="0" fillId="0" borderId="13" xfId="0" applyBorder="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insidetherent.nyc" TargetMode="External"/></Relationships>
</file>

<file path=xl/drawings/drawing1.xml><?xml version="1.0" encoding="utf-8"?>
<xdr:wsDr xmlns:xdr="http://schemas.openxmlformats.org/drawingml/2006/spreadsheetDrawing" xmlns:a="http://schemas.openxmlformats.org/drawingml/2006/main">
  <xdr:twoCellAnchor>
    <xdr:from>
      <xdr:col>2</xdr:col>
      <xdr:colOff>180975</xdr:colOff>
      <xdr:row>4</xdr:row>
      <xdr:rowOff>47624</xdr:rowOff>
    </xdr:from>
    <xdr:to>
      <xdr:col>17</xdr:col>
      <xdr:colOff>361950</xdr:colOff>
      <xdr:row>14</xdr:row>
      <xdr:rowOff>152399</xdr:rowOff>
    </xdr:to>
    <xdr:sp macro="" textlink="">
      <xdr:nvSpPr>
        <xdr:cNvPr id="2" name="TextBox 1">
          <a:hlinkClick xmlns:r="http://schemas.openxmlformats.org/officeDocument/2006/relationships" r:id="rId1"/>
        </xdr:cNvPr>
        <xdr:cNvSpPr txBox="1"/>
      </xdr:nvSpPr>
      <xdr:spPr>
        <a:xfrm>
          <a:off x="1400175" y="809624"/>
          <a:ext cx="9324975" cy="2009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This spreadsheet</a:t>
          </a:r>
          <a:r>
            <a:rPr lang="en-US" sz="1600" baseline="0"/>
            <a:t> contains the financial model used to build the </a:t>
          </a:r>
          <a:r>
            <a:rPr lang="en-US" sz="1600" i="1" baseline="0"/>
            <a:t>Inside the Rent </a:t>
          </a:r>
          <a:r>
            <a:rPr lang="en-US" sz="1600" i="0" baseline="0"/>
            <a:t>game. Use this spreadsheet to see the steps taken in calculating the final rent. You can also replace the assumptions in this model with your own to see how they would affect the rent. </a:t>
          </a:r>
        </a:p>
        <a:p>
          <a:endParaRPr lang="en-US" sz="1600" i="0" baseline="0"/>
        </a:p>
        <a:p>
          <a:r>
            <a:rPr lang="en-US" sz="1600" i="0" baseline="0"/>
            <a:t>Click the tab below to view the financial model.</a:t>
          </a:r>
        </a:p>
        <a:p>
          <a:endParaRPr lang="en-US" sz="1600" i="0" baseline="0"/>
        </a:p>
        <a:p>
          <a:pPr algn="ctr"/>
          <a:r>
            <a:rPr lang="en-US" sz="1600" i="0" baseline="0"/>
            <a:t>www.insidetherent.nyc</a:t>
          </a:r>
          <a:endParaRPr lang="en-US" sz="16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2" sqref="J22"/>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1"/>
  <sheetViews>
    <sheetView tabSelected="1" zoomScale="90" zoomScaleNormal="90" workbookViewId="0">
      <selection activeCell="D3" sqref="D3"/>
    </sheetView>
  </sheetViews>
  <sheetFormatPr defaultRowHeight="15" x14ac:dyDescent="0.25"/>
  <cols>
    <col min="1" max="1" width="11" customWidth="1"/>
    <col min="2" max="2" width="51.28515625" customWidth="1"/>
    <col min="3" max="3" width="29.7109375" customWidth="1"/>
    <col min="4" max="4" width="48" customWidth="1"/>
    <col min="5" max="5" width="16.5703125" customWidth="1"/>
    <col min="6" max="6" width="21.5703125" customWidth="1"/>
    <col min="7" max="7" width="16.85546875" bestFit="1" customWidth="1"/>
    <col min="8" max="8" width="26" customWidth="1"/>
    <col min="9" max="9" width="17.42578125" customWidth="1"/>
    <col min="10" max="10" width="12.5703125" customWidth="1"/>
    <col min="11" max="11" width="23.7109375" customWidth="1"/>
    <col min="13" max="13" width="31.42578125" customWidth="1"/>
  </cols>
  <sheetData>
    <row r="1" spans="2:13" ht="15.75" thickBot="1" x14ac:dyDescent="0.3"/>
    <row r="2" spans="2:13" ht="15.75" thickBot="1" x14ac:dyDescent="0.3">
      <c r="B2" s="3" t="s">
        <v>32</v>
      </c>
      <c r="E2" s="86" t="s">
        <v>54</v>
      </c>
      <c r="F2" s="76" t="s">
        <v>53</v>
      </c>
      <c r="H2" s="3" t="s">
        <v>26</v>
      </c>
      <c r="I2" s="3"/>
      <c r="J2" s="3"/>
      <c r="K2" s="44" t="s">
        <v>27</v>
      </c>
      <c r="M2" s="43" t="s">
        <v>35</v>
      </c>
    </row>
    <row r="3" spans="2:13" x14ac:dyDescent="0.25">
      <c r="B3" s="7" t="s">
        <v>55</v>
      </c>
      <c r="C3" s="8"/>
      <c r="D3" s="9" t="s">
        <v>7</v>
      </c>
      <c r="E3" s="64">
        <f>VLOOKUP(D3,H3:I17,2,FALSE)</f>
        <v>35</v>
      </c>
      <c r="F3" s="78">
        <f>(E3*C$37)/D$35</f>
        <v>35000</v>
      </c>
      <c r="G3" s="83"/>
      <c r="H3" s="10" t="s">
        <v>2</v>
      </c>
      <c r="I3" s="11">
        <v>150</v>
      </c>
      <c r="J3" s="56"/>
      <c r="K3" s="32" t="s">
        <v>12</v>
      </c>
      <c r="M3" s="49" t="s">
        <v>48</v>
      </c>
    </row>
    <row r="4" spans="2:13" x14ac:dyDescent="0.25">
      <c r="B4" s="48" t="s">
        <v>38</v>
      </c>
      <c r="C4" s="45" t="s">
        <v>40</v>
      </c>
      <c r="D4" s="47"/>
      <c r="E4" s="59">
        <f>IF(C4="yes",E3*-1,0)</f>
        <v>0</v>
      </c>
      <c r="F4" s="78">
        <f t="shared" ref="F4:F17" si="0">(E4*C$37)/D$35</f>
        <v>0</v>
      </c>
      <c r="G4" s="83"/>
      <c r="H4" s="14" t="s">
        <v>4</v>
      </c>
      <c r="I4" s="15">
        <v>125</v>
      </c>
      <c r="J4" s="56"/>
      <c r="K4" s="33" t="s">
        <v>14</v>
      </c>
      <c r="M4" s="50">
        <v>0.28000000000000003</v>
      </c>
    </row>
    <row r="5" spans="2:13" x14ac:dyDescent="0.25">
      <c r="B5" s="12" t="s">
        <v>56</v>
      </c>
      <c r="C5" s="5"/>
      <c r="D5" s="5"/>
      <c r="E5" s="39">
        <f>E3+E4</f>
        <v>35</v>
      </c>
      <c r="F5" s="80">
        <f t="shared" si="0"/>
        <v>35000</v>
      </c>
      <c r="G5" s="83"/>
      <c r="H5" s="14" t="s">
        <v>3</v>
      </c>
      <c r="I5" s="15">
        <v>100</v>
      </c>
      <c r="J5" s="56"/>
      <c r="K5" s="34" t="s">
        <v>13</v>
      </c>
      <c r="M5" s="50">
        <v>0</v>
      </c>
    </row>
    <row r="6" spans="2:13" x14ac:dyDescent="0.25">
      <c r="B6" s="12"/>
      <c r="C6" s="1"/>
      <c r="D6" s="1"/>
      <c r="E6" s="60"/>
      <c r="F6" s="78"/>
      <c r="G6" s="83"/>
      <c r="H6" s="14" t="s">
        <v>43</v>
      </c>
      <c r="I6" s="15">
        <v>235</v>
      </c>
      <c r="J6" s="56"/>
      <c r="K6" s="35"/>
      <c r="M6" s="51"/>
    </row>
    <row r="7" spans="2:13" x14ac:dyDescent="0.25">
      <c r="B7" s="16" t="s">
        <v>0</v>
      </c>
      <c r="C7" s="1"/>
      <c r="D7" s="17"/>
      <c r="E7" s="59"/>
      <c r="F7" s="78"/>
      <c r="G7" s="83"/>
      <c r="H7" s="14" t="s">
        <v>6</v>
      </c>
      <c r="I7" s="15">
        <v>130</v>
      </c>
      <c r="J7" s="56"/>
      <c r="K7" s="36" t="s">
        <v>22</v>
      </c>
      <c r="M7" s="52" t="s">
        <v>36</v>
      </c>
    </row>
    <row r="8" spans="2:13" x14ac:dyDescent="0.25">
      <c r="B8" s="18" t="s">
        <v>15</v>
      </c>
      <c r="C8" s="19" t="s">
        <v>14</v>
      </c>
      <c r="D8" s="17"/>
      <c r="E8" s="59">
        <f>IF(C8="high rise",313,250)</f>
        <v>250</v>
      </c>
      <c r="F8" s="78">
        <f t="shared" si="0"/>
        <v>250000</v>
      </c>
      <c r="G8" s="83"/>
      <c r="H8" s="14" t="s">
        <v>47</v>
      </c>
      <c r="I8" s="15">
        <v>60</v>
      </c>
      <c r="J8" s="56"/>
      <c r="K8" s="33" t="s">
        <v>17</v>
      </c>
      <c r="M8" s="51" t="s">
        <v>39</v>
      </c>
    </row>
    <row r="9" spans="2:13" x14ac:dyDescent="0.25">
      <c r="B9" s="18" t="s">
        <v>16</v>
      </c>
      <c r="C9" s="19" t="s">
        <v>17</v>
      </c>
      <c r="D9" s="20" t="s">
        <v>11</v>
      </c>
      <c r="E9" s="59">
        <f>IF(C9="prevailing",E8*33%,0)</f>
        <v>0</v>
      </c>
      <c r="F9" s="78">
        <f t="shared" si="0"/>
        <v>0</v>
      </c>
      <c r="G9" s="83"/>
      <c r="H9" s="14" t="s">
        <v>45</v>
      </c>
      <c r="I9" s="15">
        <v>140</v>
      </c>
      <c r="J9" s="56"/>
      <c r="K9" s="34" t="s">
        <v>18</v>
      </c>
      <c r="M9" s="51" t="s">
        <v>40</v>
      </c>
    </row>
    <row r="10" spans="2:13" x14ac:dyDescent="0.25">
      <c r="B10" s="18" t="s">
        <v>36</v>
      </c>
      <c r="C10" s="45" t="s">
        <v>40</v>
      </c>
      <c r="D10" s="20" t="s">
        <v>52</v>
      </c>
      <c r="E10" s="59">
        <f>IF(C10="yes",-SUM(E8:E9)*50%,0)</f>
        <v>0</v>
      </c>
      <c r="F10" s="78">
        <f t="shared" si="0"/>
        <v>0</v>
      </c>
      <c r="G10" s="83"/>
      <c r="H10" s="14" t="s">
        <v>44</v>
      </c>
      <c r="I10" s="15">
        <v>60</v>
      </c>
      <c r="J10" s="56"/>
      <c r="K10" s="34"/>
      <c r="M10" s="51"/>
    </row>
    <row r="11" spans="2:13" x14ac:dyDescent="0.25">
      <c r="B11" s="46" t="s">
        <v>57</v>
      </c>
      <c r="C11" s="40"/>
      <c r="D11" s="72"/>
      <c r="E11" s="73">
        <f>SUM(E8:E10)</f>
        <v>250</v>
      </c>
      <c r="F11" s="80">
        <f t="shared" si="0"/>
        <v>250000</v>
      </c>
      <c r="G11" s="83"/>
      <c r="H11" s="14" t="s">
        <v>49</v>
      </c>
      <c r="I11" s="15">
        <v>550</v>
      </c>
      <c r="J11" s="56"/>
      <c r="K11" s="36" t="s">
        <v>23</v>
      </c>
      <c r="M11" s="52" t="s">
        <v>38</v>
      </c>
    </row>
    <row r="12" spans="2:13" x14ac:dyDescent="0.25">
      <c r="B12" s="18"/>
      <c r="C12" s="6"/>
      <c r="D12" s="20"/>
      <c r="E12" s="59"/>
      <c r="F12" s="78"/>
      <c r="G12" s="83"/>
      <c r="H12" s="14" t="s">
        <v>50</v>
      </c>
      <c r="I12" s="15">
        <v>215</v>
      </c>
      <c r="J12" s="56"/>
      <c r="K12" s="33" t="s">
        <v>1</v>
      </c>
      <c r="M12" s="51" t="s">
        <v>39</v>
      </c>
    </row>
    <row r="13" spans="2:13" ht="15.75" thickBot="1" x14ac:dyDescent="0.3">
      <c r="B13" s="16" t="s">
        <v>58</v>
      </c>
      <c r="C13" s="1"/>
      <c r="D13" s="21" t="s">
        <v>37</v>
      </c>
      <c r="E13" s="59">
        <f>28%*SUM(E8:E9)</f>
        <v>70</v>
      </c>
      <c r="F13" s="78">
        <f t="shared" si="0"/>
        <v>70000</v>
      </c>
      <c r="G13" s="83"/>
      <c r="H13" s="14" t="s">
        <v>7</v>
      </c>
      <c r="I13" s="15">
        <v>35</v>
      </c>
      <c r="J13" s="56"/>
      <c r="K13" s="34" t="s">
        <v>20</v>
      </c>
      <c r="M13" s="53" t="s">
        <v>40</v>
      </c>
    </row>
    <row r="14" spans="2:13" x14ac:dyDescent="0.25">
      <c r="B14" s="16" t="s">
        <v>31</v>
      </c>
      <c r="C14" s="1"/>
      <c r="D14" s="20">
        <v>0</v>
      </c>
      <c r="E14" s="55">
        <f>D14*(E5+E11+E13)</f>
        <v>0</v>
      </c>
      <c r="F14" s="78">
        <f t="shared" si="0"/>
        <v>0</v>
      </c>
      <c r="G14" s="83"/>
      <c r="H14" s="14" t="s">
        <v>42</v>
      </c>
      <c r="I14" s="15">
        <v>50</v>
      </c>
      <c r="J14" s="56"/>
      <c r="K14" s="33"/>
    </row>
    <row r="15" spans="2:13" x14ac:dyDescent="0.25">
      <c r="B15" s="69" t="s">
        <v>59</v>
      </c>
      <c r="C15" s="70"/>
      <c r="D15" s="74"/>
      <c r="E15" s="71">
        <f>SUM(E11+E13+E14)</f>
        <v>320</v>
      </c>
      <c r="F15" s="78">
        <f t="shared" si="0"/>
        <v>320000</v>
      </c>
      <c r="G15" s="83"/>
      <c r="H15" s="14" t="s">
        <v>46</v>
      </c>
      <c r="I15" s="15">
        <v>45</v>
      </c>
      <c r="J15" s="56"/>
      <c r="K15" s="37" t="s">
        <v>24</v>
      </c>
    </row>
    <row r="16" spans="2:13" ht="15.75" thickBot="1" x14ac:dyDescent="0.3">
      <c r="B16" s="12"/>
      <c r="C16" s="5"/>
      <c r="D16" s="4"/>
      <c r="E16" s="39"/>
      <c r="F16" s="78">
        <f t="shared" si="0"/>
        <v>0</v>
      </c>
      <c r="G16" s="83"/>
      <c r="H16" s="26" t="s">
        <v>5</v>
      </c>
      <c r="I16" s="27">
        <v>300</v>
      </c>
      <c r="J16" s="56"/>
      <c r="K16" s="33" t="s">
        <v>17</v>
      </c>
    </row>
    <row r="17" spans="2:11" ht="15.75" thickBot="1" x14ac:dyDescent="0.3">
      <c r="B17" s="22" t="s">
        <v>19</v>
      </c>
      <c r="C17" s="23"/>
      <c r="D17" s="24"/>
      <c r="E17" s="65">
        <f>E5+E15</f>
        <v>355</v>
      </c>
      <c r="F17" s="81">
        <f t="shared" si="0"/>
        <v>355000</v>
      </c>
      <c r="G17" s="83"/>
      <c r="H17" s="54"/>
      <c r="I17" s="28"/>
      <c r="K17" s="38" t="s">
        <v>18</v>
      </c>
    </row>
    <row r="18" spans="2:11" ht="15.75" thickBot="1" x14ac:dyDescent="0.3">
      <c r="B18" s="5"/>
      <c r="C18" s="5"/>
      <c r="D18" s="4"/>
      <c r="E18" s="39"/>
      <c r="F18" s="59"/>
      <c r="G18" s="83"/>
      <c r="H18" s="54"/>
      <c r="I18" s="28"/>
      <c r="J18" s="1"/>
    </row>
    <row r="19" spans="2:11" ht="15.75" thickBot="1" x14ac:dyDescent="0.3">
      <c r="B19" s="40" t="s">
        <v>33</v>
      </c>
      <c r="E19" s="76" t="s">
        <v>54</v>
      </c>
      <c r="F19" s="68" t="s">
        <v>53</v>
      </c>
      <c r="G19" s="83"/>
      <c r="H19" s="84"/>
      <c r="I19" s="30"/>
      <c r="J19" s="82"/>
    </row>
    <row r="20" spans="2:11" x14ac:dyDescent="0.25">
      <c r="B20" s="7" t="s">
        <v>41</v>
      </c>
      <c r="C20" s="8"/>
      <c r="D20" s="75">
        <v>0.05</v>
      </c>
      <c r="E20" s="66"/>
      <c r="F20" s="77"/>
      <c r="G20" s="83"/>
      <c r="H20" s="6"/>
      <c r="I20" s="30"/>
      <c r="J20" s="82"/>
    </row>
    <row r="21" spans="2:11" x14ac:dyDescent="0.25">
      <c r="B21" s="25" t="s">
        <v>60</v>
      </c>
      <c r="C21" s="1"/>
      <c r="D21" s="1"/>
      <c r="E21" s="61">
        <f>E17*D20</f>
        <v>17.75</v>
      </c>
      <c r="F21" s="78">
        <f>(E21*C$37)/D$35</f>
        <v>17750</v>
      </c>
      <c r="G21" s="83"/>
      <c r="H21" s="84"/>
      <c r="I21" s="30"/>
      <c r="J21" s="82"/>
    </row>
    <row r="22" spans="2:11" x14ac:dyDescent="0.25">
      <c r="B22" s="25"/>
      <c r="C22" s="1"/>
      <c r="D22" s="1"/>
      <c r="E22" s="62"/>
      <c r="F22" s="78"/>
      <c r="G22" s="83"/>
      <c r="H22" s="85"/>
      <c r="I22" s="1"/>
      <c r="J22" s="1"/>
    </row>
    <row r="23" spans="2:11" x14ac:dyDescent="0.25">
      <c r="B23" s="16" t="s">
        <v>61</v>
      </c>
      <c r="C23" s="1"/>
      <c r="D23" s="1"/>
      <c r="E23" s="6"/>
      <c r="F23" s="78"/>
      <c r="G23" s="83"/>
    </row>
    <row r="24" spans="2:11" x14ac:dyDescent="0.25">
      <c r="B24" s="18" t="s">
        <v>21</v>
      </c>
      <c r="C24" s="19" t="s">
        <v>1</v>
      </c>
      <c r="D24" s="2" t="s">
        <v>51</v>
      </c>
      <c r="E24" s="59">
        <f>IF(C24="full",9,7.36)</f>
        <v>7.36</v>
      </c>
      <c r="F24" s="78">
        <f t="shared" ref="F24:F33" si="1">(E24*C$37)/D$35</f>
        <v>7360</v>
      </c>
      <c r="G24" s="83"/>
      <c r="H24" s="1"/>
      <c r="I24" s="1"/>
      <c r="J24" s="1"/>
      <c r="K24" s="1"/>
    </row>
    <row r="25" spans="2:11" x14ac:dyDescent="0.25">
      <c r="B25" s="18" t="s">
        <v>25</v>
      </c>
      <c r="C25" s="19" t="s">
        <v>17</v>
      </c>
      <c r="D25" s="2" t="s">
        <v>65</v>
      </c>
      <c r="E25" s="59">
        <f>IF(C25="prevailing",E24*24%,0)</f>
        <v>0</v>
      </c>
      <c r="F25" s="78">
        <f t="shared" si="1"/>
        <v>0</v>
      </c>
      <c r="G25" s="83"/>
      <c r="H25" s="54"/>
      <c r="I25" s="55"/>
      <c r="J25" s="55"/>
      <c r="K25" s="57"/>
    </row>
    <row r="26" spans="2:11" x14ac:dyDescent="0.25">
      <c r="B26" s="18" t="s">
        <v>28</v>
      </c>
      <c r="C26" s="6"/>
      <c r="D26" s="20">
        <v>0</v>
      </c>
      <c r="E26" s="59">
        <f>D26*E27</f>
        <v>0</v>
      </c>
      <c r="F26" s="78">
        <f t="shared" si="1"/>
        <v>0</v>
      </c>
      <c r="G26" s="83"/>
      <c r="H26" s="54"/>
      <c r="I26" s="55"/>
      <c r="J26" s="55"/>
      <c r="K26" s="57"/>
    </row>
    <row r="27" spans="2:11" x14ac:dyDescent="0.25">
      <c r="B27" s="31" t="s">
        <v>62</v>
      </c>
      <c r="C27" s="1"/>
      <c r="D27" s="2"/>
      <c r="E27" s="30">
        <f>SUM(E21:E25)/(100%-D26)</f>
        <v>25.11</v>
      </c>
      <c r="F27" s="78">
        <f t="shared" si="1"/>
        <v>25110</v>
      </c>
      <c r="G27" s="83"/>
      <c r="H27" s="54"/>
      <c r="I27" s="55"/>
      <c r="J27" s="55"/>
      <c r="K27" s="57"/>
    </row>
    <row r="28" spans="2:11" x14ac:dyDescent="0.25">
      <c r="B28" s="31"/>
      <c r="C28" s="1"/>
      <c r="D28" s="2"/>
      <c r="E28" s="30"/>
      <c r="F28" s="78"/>
      <c r="G28" s="83"/>
      <c r="H28" s="54"/>
      <c r="I28" s="55"/>
      <c r="J28" s="55"/>
      <c r="K28" s="57"/>
    </row>
    <row r="29" spans="2:11" x14ac:dyDescent="0.25">
      <c r="B29" s="16" t="s">
        <v>30</v>
      </c>
      <c r="C29" s="1"/>
      <c r="D29" s="58">
        <v>4.4999999999999998E-2</v>
      </c>
      <c r="E29" s="55">
        <f>D29*E30</f>
        <v>1.1831937172774869</v>
      </c>
      <c r="F29" s="78">
        <f t="shared" si="1"/>
        <v>1183.1937172774867</v>
      </c>
      <c r="G29" s="83"/>
      <c r="H29" s="54"/>
      <c r="I29" s="55"/>
      <c r="J29" s="55"/>
      <c r="K29" s="57"/>
    </row>
    <row r="30" spans="2:11" x14ac:dyDescent="0.25">
      <c r="B30" s="16" t="s">
        <v>63</v>
      </c>
      <c r="C30" s="1"/>
      <c r="D30" s="20"/>
      <c r="E30" s="55">
        <f>E27/(100%-D29)</f>
        <v>26.293193717277486</v>
      </c>
      <c r="F30" s="78">
        <f t="shared" si="1"/>
        <v>26293.193717277485</v>
      </c>
      <c r="G30" s="83"/>
      <c r="H30" s="54"/>
      <c r="I30" s="55"/>
      <c r="J30" s="55"/>
      <c r="K30" s="57"/>
    </row>
    <row r="31" spans="2:11" x14ac:dyDescent="0.25">
      <c r="B31" s="16"/>
      <c r="C31" s="1"/>
      <c r="D31" s="20"/>
      <c r="E31" s="55"/>
      <c r="F31" s="78"/>
      <c r="G31" s="83"/>
      <c r="H31" s="54"/>
      <c r="I31" s="55"/>
      <c r="J31" s="55"/>
      <c r="K31" s="57"/>
    </row>
    <row r="32" spans="2:11" x14ac:dyDescent="0.25">
      <c r="B32" s="16" t="s">
        <v>29</v>
      </c>
      <c r="C32" s="1"/>
      <c r="D32" s="42">
        <v>0.28000000000000003</v>
      </c>
      <c r="E32" s="55">
        <f>D32*E33</f>
        <v>10.225130890052357</v>
      </c>
      <c r="F32" s="78">
        <f t="shared" si="1"/>
        <v>10225.130890052356</v>
      </c>
      <c r="G32" s="83"/>
      <c r="H32" s="54"/>
      <c r="I32" s="55"/>
      <c r="J32" s="55"/>
      <c r="K32" s="57"/>
    </row>
    <row r="33" spans="2:11" x14ac:dyDescent="0.25">
      <c r="B33" s="16" t="s">
        <v>64</v>
      </c>
      <c r="C33" s="1"/>
      <c r="D33" s="20"/>
      <c r="E33" s="59">
        <f>E30/(100%-D32)</f>
        <v>36.518324607329845</v>
      </c>
      <c r="F33" s="78">
        <f t="shared" si="1"/>
        <v>36518.324607329843</v>
      </c>
      <c r="G33" s="83"/>
      <c r="H33" s="54"/>
      <c r="I33" s="55"/>
      <c r="J33" s="55"/>
      <c r="K33" s="57"/>
    </row>
    <row r="34" spans="2:11" ht="15.75" thickBot="1" x14ac:dyDescent="0.3">
      <c r="B34" s="16"/>
      <c r="C34" s="1"/>
      <c r="D34" s="2"/>
      <c r="E34" s="30"/>
      <c r="F34" s="78"/>
      <c r="G34" s="83"/>
      <c r="H34" s="54"/>
      <c r="I34" s="55"/>
      <c r="J34" s="55"/>
      <c r="K34" s="57"/>
    </row>
    <row r="35" spans="2:11" x14ac:dyDescent="0.25">
      <c r="B35" s="7" t="s">
        <v>34</v>
      </c>
      <c r="C35" s="8"/>
      <c r="D35" s="75">
        <v>0.8</v>
      </c>
      <c r="E35" s="29">
        <f>E33/D35</f>
        <v>45.647905759162306</v>
      </c>
      <c r="F35" s="77"/>
      <c r="G35" s="83"/>
      <c r="H35" s="85"/>
      <c r="I35" s="55"/>
      <c r="J35" s="55"/>
      <c r="K35" s="57"/>
    </row>
    <row r="36" spans="2:11" x14ac:dyDescent="0.25">
      <c r="B36" s="16"/>
      <c r="C36" s="1"/>
      <c r="D36" s="2"/>
      <c r="E36" s="30"/>
      <c r="F36" s="78"/>
      <c r="G36" s="83"/>
      <c r="H36" s="54"/>
      <c r="I36" s="55"/>
      <c r="J36" s="55"/>
      <c r="K36" s="57"/>
    </row>
    <row r="37" spans="2:11" x14ac:dyDescent="0.25">
      <c r="B37" s="16" t="s">
        <v>8</v>
      </c>
      <c r="C37" s="1">
        <v>800</v>
      </c>
      <c r="D37" s="1"/>
      <c r="E37" s="63"/>
      <c r="F37" s="78"/>
      <c r="G37" s="83"/>
      <c r="H37" s="54"/>
      <c r="I37" s="55"/>
      <c r="J37" s="55"/>
      <c r="K37" s="57"/>
    </row>
    <row r="38" spans="2:11" x14ac:dyDescent="0.25">
      <c r="B38" s="16" t="s">
        <v>9</v>
      </c>
      <c r="C38" s="1"/>
      <c r="D38" s="1"/>
      <c r="E38" s="30">
        <f>E35*C37</f>
        <v>36518.324607329843</v>
      </c>
      <c r="F38" s="78"/>
      <c r="G38" s="83"/>
      <c r="H38" s="54"/>
      <c r="I38" s="55"/>
      <c r="J38" s="55"/>
      <c r="K38" s="57"/>
    </row>
    <row r="39" spans="2:11" ht="15.75" thickBot="1" x14ac:dyDescent="0.3">
      <c r="B39" s="22" t="s">
        <v>10</v>
      </c>
      <c r="C39" s="23"/>
      <c r="D39" s="23"/>
      <c r="E39" s="67">
        <f>E38/12</f>
        <v>3043.1937172774869</v>
      </c>
      <c r="F39" s="79"/>
      <c r="G39" s="83"/>
      <c r="H39" s="1"/>
      <c r="I39" s="30"/>
      <c r="J39" s="30"/>
      <c r="K39" s="57"/>
    </row>
    <row r="41" spans="2:11" x14ac:dyDescent="0.25">
      <c r="B41" s="3"/>
      <c r="E41" s="13"/>
      <c r="F41" s="13"/>
    </row>
    <row r="42" spans="2:11" s="3" customFormat="1" x14ac:dyDescent="0.25">
      <c r="B42"/>
      <c r="C42"/>
      <c r="D42"/>
      <c r="E42" s="13"/>
      <c r="F42" s="13"/>
      <c r="H42"/>
      <c r="I42"/>
      <c r="J42"/>
    </row>
    <row r="43" spans="2:11" ht="15" customHeight="1" x14ac:dyDescent="0.25">
      <c r="B43" s="41"/>
      <c r="E43" s="13"/>
      <c r="F43" s="13"/>
      <c r="H43" s="3"/>
      <c r="I43" s="3"/>
      <c r="J43" s="3"/>
    </row>
    <row r="44" spans="2:11" x14ac:dyDescent="0.25">
      <c r="B44" s="41"/>
      <c r="E44" s="13"/>
      <c r="F44" s="13"/>
    </row>
    <row r="46" spans="2:11" x14ac:dyDescent="0.25">
      <c r="E46" s="13"/>
      <c r="F46" s="13"/>
    </row>
    <row r="51" spans="2:6" x14ac:dyDescent="0.25">
      <c r="B51" s="3"/>
      <c r="C51" s="3"/>
      <c r="D51" s="3"/>
      <c r="E51" s="3"/>
      <c r="F51" s="3"/>
    </row>
  </sheetData>
  <sortState ref="H3:I16">
    <sortCondition ref="H3:H16"/>
  </sortState>
  <dataValidations count="8">
    <dataValidation type="list" allowBlank="1" showInputMessage="1" showErrorMessage="1" sqref="D3:D4">
      <formula1>$H$3:$H$17</formula1>
    </dataValidation>
    <dataValidation type="list" allowBlank="1" showInputMessage="1" showErrorMessage="1" sqref="C8">
      <formula1>$K$4:$K$5</formula1>
    </dataValidation>
    <dataValidation type="list" allowBlank="1" showInputMessage="1" showErrorMessage="1" sqref="C9">
      <formula1>$K$8:$K$9</formula1>
    </dataValidation>
    <dataValidation type="list" allowBlank="1" showInputMessage="1" showErrorMessage="1" sqref="C24">
      <formula1>$K$12:$K$13</formula1>
    </dataValidation>
    <dataValidation type="list" allowBlank="1" showInputMessage="1" showErrorMessage="1" sqref="C25">
      <formula1>$K$16:$K$17</formula1>
    </dataValidation>
    <dataValidation type="list" allowBlank="1" showInputMessage="1" showErrorMessage="1" sqref="D32">
      <formula1>$M$4:$M$5</formula1>
    </dataValidation>
    <dataValidation type="list" allowBlank="1" showInputMessage="1" showErrorMessage="1" sqref="C10">
      <formula1>$M$8:$M$9</formula1>
    </dataValidation>
    <dataValidation type="list" allowBlank="1" showInputMessage="1" showErrorMessage="1" sqref="C4">
      <formula1>$M$12:$M$13</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this</vt:lpstr>
      <vt:lpstr>Financial model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Ilene</dc:creator>
  <cp:lastModifiedBy>Daniel P Land</cp:lastModifiedBy>
  <cp:lastPrinted>2015-05-14T19:26:52Z</cp:lastPrinted>
  <dcterms:created xsi:type="dcterms:W3CDTF">2015-04-07T21:23:23Z</dcterms:created>
  <dcterms:modified xsi:type="dcterms:W3CDTF">2015-06-03T22:47:43Z</dcterms:modified>
</cp:coreProperties>
</file>