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UR INITIATIVES\Preservation Game\Data\"/>
    </mc:Choice>
  </mc:AlternateContent>
  <bookViews>
    <workbookView xWindow="0" yWindow="0" windowWidth="28800" windowHeight="12435"/>
  </bookViews>
  <sheets>
    <sheet name="Initial Data Poi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0" i="1"/>
  <c r="F20" i="1" s="1"/>
  <c r="B19" i="1"/>
  <c r="F19" i="1" s="1"/>
  <c r="B18" i="1"/>
  <c r="F18" i="1" s="1"/>
  <c r="B16" i="1"/>
  <c r="F16" i="1" s="1"/>
  <c r="B15" i="1"/>
  <c r="F15" i="1" s="1"/>
  <c r="B14" i="1"/>
  <c r="F14" i="1" s="1"/>
  <c r="B13" i="1"/>
  <c r="F13" i="1" s="1"/>
  <c r="B12" i="1"/>
  <c r="F12" i="1" s="1"/>
  <c r="B11" i="1"/>
  <c r="F11" i="1" s="1"/>
  <c r="B10" i="1"/>
  <c r="F10" i="1" s="1"/>
  <c r="J5" i="1"/>
  <c r="J7" i="1" s="1"/>
  <c r="F5" i="1"/>
  <c r="F22" i="1" s="1"/>
  <c r="B4" i="1"/>
  <c r="B5" i="1" s="1"/>
  <c r="F21" i="1" l="1"/>
  <c r="F23" i="1" s="1"/>
  <c r="J22" i="1"/>
  <c r="J10" i="1"/>
  <c r="J12" i="1"/>
  <c r="J14" i="1"/>
  <c r="J16" i="1"/>
  <c r="J19" i="1"/>
  <c r="J11" i="1"/>
  <c r="J13" i="1"/>
  <c r="J15" i="1"/>
  <c r="J18" i="1"/>
  <c r="B21" i="1"/>
  <c r="B22" i="1"/>
  <c r="B7" i="1"/>
  <c r="F7" i="1"/>
  <c r="F24" i="1" l="1"/>
  <c r="F26" i="1" s="1"/>
  <c r="F29" i="1" s="1"/>
  <c r="J21" i="1"/>
  <c r="B23" i="1"/>
  <c r="B24" i="1" s="1"/>
  <c r="F30" i="1" l="1"/>
  <c r="F34" i="1" s="1"/>
  <c r="J23" i="1"/>
  <c r="B26" i="1"/>
  <c r="B29" i="1" s="1"/>
  <c r="J24" i="1" l="1"/>
  <c r="F35" i="1"/>
  <c r="F31" i="1"/>
  <c r="B30" i="1"/>
  <c r="B31" i="1" s="1"/>
  <c r="J31" i="1" l="1"/>
  <c r="J26" i="1"/>
  <c r="J29" i="1" s="1"/>
  <c r="J30" i="1" s="1"/>
  <c r="J34" i="1" s="1"/>
  <c r="J35" i="1" s="1"/>
</calcChain>
</file>

<file path=xl/sharedStrings.xml><?xml version="1.0" encoding="utf-8"?>
<sst xmlns="http://schemas.openxmlformats.org/spreadsheetml/2006/main" count="117" uniqueCount="43">
  <si>
    <t>Easy</t>
  </si>
  <si>
    <t>Medium</t>
  </si>
  <si>
    <t>Hard</t>
  </si>
  <si>
    <t>Data Point</t>
  </si>
  <si>
    <t>Under the Hood Variables</t>
  </si>
  <si>
    <t>Yearly Increase</t>
  </si>
  <si>
    <t>Units</t>
  </si>
  <si>
    <t>Montly rent per unit</t>
  </si>
  <si>
    <t>Gross annual rent per unit</t>
  </si>
  <si>
    <t>Vacancy</t>
  </si>
  <si>
    <t>Income (annual)</t>
  </si>
  <si>
    <t>M&amp;O Expenses:</t>
  </si>
  <si>
    <t>Per building:</t>
  </si>
  <si>
    <t>Suppl/Clean/Ext.</t>
  </si>
  <si>
    <t>Heating</t>
  </si>
  <si>
    <t>Water/Sewer</t>
  </si>
  <si>
    <t>Electricity</t>
  </si>
  <si>
    <t>Maintenance/Repairs</t>
  </si>
  <si>
    <t>Labor</t>
  </si>
  <si>
    <t>Insurance</t>
  </si>
  <si>
    <t>Management fee (6% of income)</t>
  </si>
  <si>
    <t>Legal</t>
  </si>
  <si>
    <t>Admin/Misc</t>
  </si>
  <si>
    <t>Set-aside for reserves</t>
  </si>
  <si>
    <t>Total M&amp;O</t>
  </si>
  <si>
    <t>Taxes (30% of EGI)</t>
  </si>
  <si>
    <t>Total Expenses</t>
  </si>
  <si>
    <t>Net Operating Income</t>
  </si>
  <si>
    <t>Initial debt coverage ratio</t>
  </si>
  <si>
    <t>Initital mortgage payment</t>
  </si>
  <si>
    <t>Loan term remaining</t>
  </si>
  <si>
    <t>Interest rate</t>
  </si>
  <si>
    <t>Outstanding principal</t>
  </si>
  <si>
    <t>Mortgage payment</t>
  </si>
  <si>
    <t>Net Surplus</t>
  </si>
  <si>
    <t>Reserves (assumes 5 years)</t>
  </si>
  <si>
    <t>Reserves (assumes 2 years)</t>
  </si>
  <si>
    <t>Reserves (assumes 0 years)</t>
  </si>
  <si>
    <t>Effective debt coverage ratio</t>
  </si>
  <si>
    <t>Financial Health</t>
  </si>
  <si>
    <t>Physical Health</t>
  </si>
  <si>
    <t>Social Health</t>
  </si>
  <si>
    <t>Set by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</si>
</sst>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0.000%"/>
    <numFmt numFmtId="167" formatCode="#,##0.0"/>
    <numFmt numFmtId="168" formatCode="&quot;$&quot;#,##0.0"/>
    <numFmt numFmtId="169" formatCode="_(&quot;$&quot;* #,##0_);_(&quot;$&quot;* \(#,##0\);_(&quot;$&quot;* &quot;-&quot;??_);_(@_)"/>
    <numFmt numFmtId="170" formatCode="0.0"/>
  </numFmts>
  <fonts count="1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name val="Arial"/>
    </font>
    <font>
      <sz val="11"/>
      <name val="Arial"/>
    </font>
    <font>
      <b/>
      <sz val="11"/>
      <name val="Arial"/>
    </font>
    <font>
      <b/>
      <u/>
      <sz val="12"/>
      <name val="Arial"/>
    </font>
    <font>
      <sz val="11"/>
      <color rgb="FF000000"/>
      <name val="Arial"/>
    </font>
    <font>
      <b/>
      <sz val="11"/>
      <color rgb="FF000000"/>
      <name val="Arial"/>
    </font>
    <font>
      <u/>
      <sz val="11"/>
      <color rgb="FF000000"/>
      <name val="Arial"/>
    </font>
    <font>
      <b/>
      <i/>
      <sz val="11"/>
      <name val="Arial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/>
    <xf numFmtId="168" fontId="10" fillId="4" borderId="0" xfId="0" applyNumberFormat="1" applyFont="1" applyFill="1" applyAlignment="1"/>
    <xf numFmtId="167" fontId="9" fillId="0" borderId="0" xfId="0" applyNumberFormat="1" applyFont="1" applyAlignment="1"/>
    <xf numFmtId="0" fontId="3" fillId="0" borderId="2" xfId="0" applyFont="1" applyBorder="1"/>
    <xf numFmtId="0" fontId="5" fillId="3" borderId="4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5" fillId="3" borderId="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6" fillId="0" borderId="4" xfId="0" applyFont="1" applyBorder="1" applyAlignment="1"/>
    <xf numFmtId="164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9" fontId="6" fillId="0" borderId="0" xfId="0" applyNumberFormat="1" applyFont="1" applyBorder="1" applyAlignment="1"/>
    <xf numFmtId="9" fontId="6" fillId="0" borderId="5" xfId="0" applyNumberFormat="1" applyFont="1" applyBorder="1" applyAlignment="1"/>
    <xf numFmtId="0" fontId="4" fillId="0" borderId="4" xfId="0" applyFont="1" applyBorder="1" applyAlignment="1"/>
    <xf numFmtId="10" fontId="4" fillId="0" borderId="0" xfId="0" applyNumberFormat="1" applyFont="1" applyBorder="1" applyAlignment="1"/>
    <xf numFmtId="0" fontId="4" fillId="0" borderId="0" xfId="0" applyFont="1" applyBorder="1"/>
    <xf numFmtId="10" fontId="3" fillId="0" borderId="0" xfId="0" applyNumberFormat="1" applyFont="1" applyBorder="1" applyAlignment="1"/>
    <xf numFmtId="0" fontId="4" fillId="0" borderId="0" xfId="0" applyFont="1" applyBorder="1" applyAlignment="1"/>
    <xf numFmtId="0" fontId="4" fillId="0" borderId="5" xfId="0" applyFont="1" applyBorder="1"/>
    <xf numFmtId="0" fontId="7" fillId="0" borderId="4" xfId="0" applyFont="1" applyBorder="1" applyAlignment="1"/>
    <xf numFmtId="164" fontId="7" fillId="0" borderId="0" xfId="0" applyNumberFormat="1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8" fillId="0" borderId="4" xfId="0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9" fontId="3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165" fontId="6" fillId="0" borderId="5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5" xfId="0" applyFont="1" applyBorder="1"/>
    <xf numFmtId="164" fontId="4" fillId="0" borderId="0" xfId="0" applyNumberFormat="1" applyFont="1" applyBorder="1"/>
    <xf numFmtId="169" fontId="7" fillId="0" borderId="0" xfId="1" applyNumberFormat="1" applyFont="1" applyBorder="1" applyAlignment="1">
      <alignment horizontal="left"/>
    </xf>
    <xf numFmtId="169" fontId="7" fillId="0" borderId="0" xfId="1" applyNumberFormat="1" applyFont="1" applyBorder="1" applyAlignment="1"/>
    <xf numFmtId="44" fontId="7" fillId="0" borderId="0" xfId="1" applyFont="1" applyBorder="1" applyAlignment="1"/>
    <xf numFmtId="2" fontId="3" fillId="0" borderId="0" xfId="0" applyNumberFormat="1" applyFont="1" applyBorder="1"/>
    <xf numFmtId="170" fontId="4" fillId="0" borderId="0" xfId="0" applyNumberFormat="1" applyFont="1" applyBorder="1"/>
    <xf numFmtId="0" fontId="4" fillId="0" borderId="4" xfId="0" applyFont="1" applyBorder="1"/>
    <xf numFmtId="9" fontId="4" fillId="0" borderId="0" xfId="0" applyNumberFormat="1" applyFont="1" applyBorder="1"/>
    <xf numFmtId="0" fontId="4" fillId="0" borderId="6" xfId="0" applyFont="1" applyBorder="1" applyAlignment="1"/>
    <xf numFmtId="9" fontId="4" fillId="0" borderId="7" xfId="0" applyNumberFormat="1" applyFont="1" applyBorder="1"/>
    <xf numFmtId="0" fontId="4" fillId="0" borderId="7" xfId="0" applyFont="1" applyBorder="1"/>
    <xf numFmtId="0" fontId="3" fillId="0" borderId="7" xfId="0" applyFont="1" applyBorder="1"/>
    <xf numFmtId="0" fontId="4" fillId="0" borderId="7" xfId="0" applyFont="1" applyBorder="1" applyAlignment="1"/>
    <xf numFmtId="0" fontId="4" fillId="0" borderId="8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933450</xdr:colOff>
      <xdr:row>47</xdr:row>
      <xdr:rowOff>76200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933450</xdr:colOff>
      <xdr:row>47</xdr:row>
      <xdr:rowOff>76200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5</xdr:row>
      <xdr:rowOff>66674</xdr:rowOff>
    </xdr:from>
    <xdr:to>
      <xdr:col>7</xdr:col>
      <xdr:colOff>171450</xdr:colOff>
      <xdr:row>12</xdr:row>
      <xdr:rowOff>123824</xdr:rowOff>
    </xdr:to>
    <xdr:sp macro="" textlink="">
      <xdr:nvSpPr>
        <xdr:cNvPr id="4" name="TextBox 3"/>
        <xdr:cNvSpPr txBox="1"/>
      </xdr:nvSpPr>
      <xdr:spPr>
        <a:xfrm>
          <a:off x="3419475" y="1390649"/>
          <a:ext cx="6391275" cy="14382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We are</a:t>
          </a:r>
          <a:r>
            <a:rPr lang="en-US" sz="2000" baseline="0"/>
            <a:t> happy to help clarify </a:t>
          </a:r>
          <a:r>
            <a:rPr lang="en-US" sz="2000"/>
            <a:t>any of </a:t>
          </a:r>
          <a:r>
            <a:rPr lang="en-US" sz="2000" baseline="0"/>
            <a:t>these assumptions! Please email Daniel Parcerisas with any questions at dparcerisas@chpcny.org. 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1"/>
  <sheetViews>
    <sheetView tabSelected="1" workbookViewId="0">
      <selection activeCell="F23" sqref="F23"/>
    </sheetView>
  </sheetViews>
  <sheetFormatPr defaultColWidth="14.42578125" defaultRowHeight="15.75" customHeight="1"/>
  <cols>
    <col min="1" max="1" width="32" style="2" customWidth="1"/>
    <col min="2" max="2" width="16.28515625" style="2" bestFit="1" customWidth="1"/>
    <col min="3" max="3" width="19.5703125" style="2" customWidth="1"/>
    <col min="4" max="4" width="9.42578125" style="2" customWidth="1"/>
    <col min="5" max="5" width="30.5703125" style="2" customWidth="1"/>
    <col min="6" max="6" width="14.42578125" style="2"/>
    <col min="7" max="7" width="22.28515625" style="2" customWidth="1"/>
    <col min="8" max="8" width="9.5703125" style="2" customWidth="1"/>
    <col min="9" max="9" width="30.5703125" style="2" customWidth="1"/>
    <col min="10" max="10" width="14.42578125" style="2"/>
    <col min="11" max="11" width="21" style="2" customWidth="1"/>
    <col min="12" max="16384" width="14.42578125" style="2"/>
  </cols>
  <sheetData>
    <row r="1" spans="1:24" ht="41.25" customHeight="1">
      <c r="A1" s="65" t="s">
        <v>0</v>
      </c>
      <c r="B1" s="66"/>
      <c r="C1" s="66"/>
      <c r="D1" s="6"/>
      <c r="E1" s="67" t="s">
        <v>1</v>
      </c>
      <c r="F1" s="66"/>
      <c r="G1" s="66"/>
      <c r="H1" s="6"/>
      <c r="I1" s="67" t="s">
        <v>2</v>
      </c>
      <c r="J1" s="66"/>
      <c r="K1" s="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7" t="s">
        <v>3</v>
      </c>
      <c r="B2" s="8" t="s">
        <v>4</v>
      </c>
      <c r="C2" s="8" t="s">
        <v>5</v>
      </c>
      <c r="D2" s="9"/>
      <c r="E2" s="10" t="s">
        <v>3</v>
      </c>
      <c r="F2" s="8" t="s">
        <v>4</v>
      </c>
      <c r="G2" s="8" t="s">
        <v>5</v>
      </c>
      <c r="H2" s="9"/>
      <c r="I2" s="10" t="s">
        <v>3</v>
      </c>
      <c r="J2" s="8" t="s">
        <v>4</v>
      </c>
      <c r="K2" s="11" t="s">
        <v>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12" t="s">
        <v>6</v>
      </c>
      <c r="B3" s="13">
        <v>20</v>
      </c>
      <c r="C3" s="13"/>
      <c r="D3" s="13"/>
      <c r="E3" s="13" t="s">
        <v>6</v>
      </c>
      <c r="F3" s="13">
        <v>20</v>
      </c>
      <c r="G3" s="13"/>
      <c r="H3" s="9"/>
      <c r="I3" s="13" t="s">
        <v>6</v>
      </c>
      <c r="J3" s="13">
        <v>20</v>
      </c>
      <c r="K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15" t="s">
        <v>7</v>
      </c>
      <c r="B4" s="16">
        <f>1500</f>
        <v>1500</v>
      </c>
      <c r="C4" s="17" t="s">
        <v>42</v>
      </c>
      <c r="D4" s="9"/>
      <c r="E4" s="17" t="s">
        <v>7</v>
      </c>
      <c r="F4" s="16">
        <v>1500</v>
      </c>
      <c r="G4" s="17" t="s">
        <v>42</v>
      </c>
      <c r="H4" s="9"/>
      <c r="I4" s="17" t="s">
        <v>7</v>
      </c>
      <c r="J4" s="16">
        <v>1500</v>
      </c>
      <c r="K4" s="18" t="s">
        <v>42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15" t="s">
        <v>8</v>
      </c>
      <c r="B5" s="16">
        <f>B4*12*B3</f>
        <v>360000</v>
      </c>
      <c r="C5" s="19"/>
      <c r="D5" s="16"/>
      <c r="E5" s="17" t="s">
        <v>8</v>
      </c>
      <c r="F5" s="16">
        <f>F4*12*F3</f>
        <v>360000</v>
      </c>
      <c r="G5" s="19"/>
      <c r="H5" s="9"/>
      <c r="I5" s="17" t="s">
        <v>8</v>
      </c>
      <c r="J5" s="16">
        <f>J4*12*J3</f>
        <v>360000</v>
      </c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1" t="s">
        <v>9</v>
      </c>
      <c r="B6" s="22">
        <v>3.5000000000000003E-2</v>
      </c>
      <c r="C6" s="23"/>
      <c r="D6" s="24"/>
      <c r="E6" s="25" t="s">
        <v>9</v>
      </c>
      <c r="F6" s="22">
        <v>0.04</v>
      </c>
      <c r="G6" s="23"/>
      <c r="H6" s="9"/>
      <c r="I6" s="25" t="s">
        <v>9</v>
      </c>
      <c r="J6" s="22">
        <v>4.4999999999999998E-2</v>
      </c>
      <c r="K6" s="2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27" t="s">
        <v>10</v>
      </c>
      <c r="B7" s="28">
        <f>B5-B6*B5</f>
        <v>347400</v>
      </c>
      <c r="C7" s="29"/>
      <c r="D7" s="29"/>
      <c r="E7" s="29" t="s">
        <v>10</v>
      </c>
      <c r="F7" s="28">
        <f>F5-F6*F5</f>
        <v>345600</v>
      </c>
      <c r="G7" s="29"/>
      <c r="H7" s="9"/>
      <c r="I7" s="29" t="s">
        <v>10</v>
      </c>
      <c r="J7" s="28">
        <f>J5-J6*J5</f>
        <v>343800</v>
      </c>
      <c r="K7" s="3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31"/>
      <c r="B8" s="32"/>
      <c r="C8" s="19"/>
      <c r="D8" s="9"/>
      <c r="E8" s="33"/>
      <c r="F8" s="32"/>
      <c r="G8" s="19"/>
      <c r="H8" s="9"/>
      <c r="I8" s="33"/>
      <c r="J8" s="32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31" t="s">
        <v>11</v>
      </c>
      <c r="B9" s="32" t="s">
        <v>12</v>
      </c>
      <c r="C9" s="19"/>
      <c r="D9" s="34"/>
      <c r="E9" s="33" t="s">
        <v>11</v>
      </c>
      <c r="F9" s="32" t="s">
        <v>12</v>
      </c>
      <c r="G9" s="19"/>
      <c r="H9" s="34">
        <v>1.2</v>
      </c>
      <c r="I9" s="33" t="s">
        <v>11</v>
      </c>
      <c r="J9" s="32" t="s">
        <v>12</v>
      </c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15" t="s">
        <v>13</v>
      </c>
      <c r="B10" s="35">
        <f>390*B3</f>
        <v>7800</v>
      </c>
      <c r="C10" s="36">
        <v>0.02</v>
      </c>
      <c r="D10" s="9"/>
      <c r="E10" s="17" t="s">
        <v>13</v>
      </c>
      <c r="F10" s="35">
        <f t="shared" ref="F10:F16" si="0">B10</f>
        <v>7800</v>
      </c>
      <c r="G10" s="36">
        <v>2.5000000000000001E-2</v>
      </c>
      <c r="H10" s="9"/>
      <c r="I10" s="17" t="s">
        <v>13</v>
      </c>
      <c r="J10" s="35">
        <f t="shared" ref="J10:J16" si="1">B10*H$9</f>
        <v>9360</v>
      </c>
      <c r="K10" s="37">
        <v>2.5000000000000001E-2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15" t="s">
        <v>14</v>
      </c>
      <c r="B11" s="35">
        <f>1356*B3</f>
        <v>27120</v>
      </c>
      <c r="C11" s="36">
        <v>0.02</v>
      </c>
      <c r="D11" s="9"/>
      <c r="E11" s="17" t="s">
        <v>14</v>
      </c>
      <c r="F11" s="35">
        <f t="shared" si="0"/>
        <v>27120</v>
      </c>
      <c r="G11" s="36">
        <v>2.5000000000000001E-2</v>
      </c>
      <c r="H11" s="9"/>
      <c r="I11" s="17" t="s">
        <v>14</v>
      </c>
      <c r="J11" s="35">
        <f t="shared" si="1"/>
        <v>32544</v>
      </c>
      <c r="K11" s="37">
        <v>2.5000000000000001E-2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5" t="s">
        <v>15</v>
      </c>
      <c r="B12" s="35">
        <f>1000*B3</f>
        <v>20000</v>
      </c>
      <c r="C12" s="36">
        <v>0.02</v>
      </c>
      <c r="D12" s="9"/>
      <c r="E12" s="17" t="s">
        <v>15</v>
      </c>
      <c r="F12" s="35">
        <f t="shared" si="0"/>
        <v>20000</v>
      </c>
      <c r="G12" s="36">
        <v>2.5000000000000001E-2</v>
      </c>
      <c r="H12" s="9"/>
      <c r="I12" s="17" t="s">
        <v>15</v>
      </c>
      <c r="J12" s="35">
        <f t="shared" si="1"/>
        <v>24000</v>
      </c>
      <c r="K12" s="37">
        <v>2.5000000000000001E-2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5" t="s">
        <v>16</v>
      </c>
      <c r="B13" s="35">
        <f>458*B3</f>
        <v>9160</v>
      </c>
      <c r="C13" s="36">
        <v>0.02</v>
      </c>
      <c r="D13" s="9"/>
      <c r="E13" s="17" t="s">
        <v>16</v>
      </c>
      <c r="F13" s="35">
        <f t="shared" si="0"/>
        <v>9160</v>
      </c>
      <c r="G13" s="36">
        <v>2.5000000000000001E-2</v>
      </c>
      <c r="H13" s="9"/>
      <c r="I13" s="17" t="s">
        <v>16</v>
      </c>
      <c r="J13" s="35">
        <f t="shared" si="1"/>
        <v>10992</v>
      </c>
      <c r="K13" s="37">
        <v>2.5000000000000001E-2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5" t="s">
        <v>17</v>
      </c>
      <c r="B14" s="35">
        <f>1185*B3</f>
        <v>23700</v>
      </c>
      <c r="C14" s="36">
        <v>0.02</v>
      </c>
      <c r="D14" s="9"/>
      <c r="E14" s="17" t="s">
        <v>17</v>
      </c>
      <c r="F14" s="35">
        <f t="shared" si="0"/>
        <v>23700</v>
      </c>
      <c r="G14" s="36">
        <v>2.5000000000000001E-2</v>
      </c>
      <c r="H14" s="9"/>
      <c r="I14" s="17" t="s">
        <v>17</v>
      </c>
      <c r="J14" s="35">
        <f t="shared" si="1"/>
        <v>28440</v>
      </c>
      <c r="K14" s="37">
        <v>2.5000000000000001E-2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5" t="s">
        <v>18</v>
      </c>
      <c r="B15" s="35">
        <f>1047*B3</f>
        <v>20940</v>
      </c>
      <c r="C15" s="36">
        <v>0.02</v>
      </c>
      <c r="D15" s="9"/>
      <c r="E15" s="17" t="s">
        <v>18</v>
      </c>
      <c r="F15" s="35">
        <f t="shared" si="0"/>
        <v>20940</v>
      </c>
      <c r="G15" s="36">
        <v>2.5000000000000001E-2</v>
      </c>
      <c r="H15" s="9"/>
      <c r="I15" s="17" t="s">
        <v>18</v>
      </c>
      <c r="J15" s="35">
        <f t="shared" si="1"/>
        <v>25128</v>
      </c>
      <c r="K15" s="37">
        <v>2.5000000000000001E-2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5" t="s">
        <v>19</v>
      </c>
      <c r="B16" s="35">
        <f>605*B3</f>
        <v>12100</v>
      </c>
      <c r="C16" s="36">
        <v>0.02</v>
      </c>
      <c r="D16" s="9"/>
      <c r="E16" s="17" t="s">
        <v>19</v>
      </c>
      <c r="F16" s="35">
        <f t="shared" si="0"/>
        <v>12100</v>
      </c>
      <c r="G16" s="36">
        <v>2.5000000000000001E-2</v>
      </c>
      <c r="H16" s="9"/>
      <c r="I16" s="17" t="s">
        <v>19</v>
      </c>
      <c r="J16" s="35">
        <f t="shared" si="1"/>
        <v>14520</v>
      </c>
      <c r="K16" s="37">
        <v>2.5000000000000001E-2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5" t="s">
        <v>20</v>
      </c>
      <c r="B17" s="35">
        <v>0</v>
      </c>
      <c r="C17" s="36">
        <v>0</v>
      </c>
      <c r="D17" s="9"/>
      <c r="E17" s="17" t="s">
        <v>20</v>
      </c>
      <c r="F17" s="35">
        <v>0</v>
      </c>
      <c r="G17" s="36">
        <v>0</v>
      </c>
      <c r="H17" s="9"/>
      <c r="I17" s="17" t="s">
        <v>20</v>
      </c>
      <c r="J17" s="35">
        <v>0</v>
      </c>
      <c r="K17" s="37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5" t="s">
        <v>21</v>
      </c>
      <c r="B18" s="35">
        <f>205*B3</f>
        <v>4100</v>
      </c>
      <c r="C18" s="36">
        <v>0.02</v>
      </c>
      <c r="D18" s="9"/>
      <c r="E18" s="17" t="s">
        <v>21</v>
      </c>
      <c r="F18" s="35">
        <f>B18</f>
        <v>4100</v>
      </c>
      <c r="G18" s="36">
        <v>2.5000000000000001E-2</v>
      </c>
      <c r="H18" s="9"/>
      <c r="I18" s="17" t="s">
        <v>21</v>
      </c>
      <c r="J18" s="35">
        <f>B18*H$9</f>
        <v>4920</v>
      </c>
      <c r="K18" s="37">
        <v>2.5000000000000001E-2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5" t="s">
        <v>22</v>
      </c>
      <c r="B19" s="35">
        <f>249*B3</f>
        <v>4980</v>
      </c>
      <c r="C19" s="36">
        <v>0.02</v>
      </c>
      <c r="D19" s="9"/>
      <c r="E19" s="17" t="s">
        <v>22</v>
      </c>
      <c r="F19" s="35">
        <f>B19</f>
        <v>4980</v>
      </c>
      <c r="G19" s="36">
        <v>2.5000000000000001E-2</v>
      </c>
      <c r="H19" s="9"/>
      <c r="I19" s="17" t="s">
        <v>22</v>
      </c>
      <c r="J19" s="35">
        <f>B19*H$9</f>
        <v>5976</v>
      </c>
      <c r="K19" s="37">
        <v>2.5000000000000001E-2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5" t="s">
        <v>23</v>
      </c>
      <c r="B20" s="35">
        <f>250*B3</f>
        <v>5000</v>
      </c>
      <c r="C20" s="36">
        <v>0.02</v>
      </c>
      <c r="D20" s="9"/>
      <c r="E20" s="17" t="s">
        <v>23</v>
      </c>
      <c r="F20" s="35">
        <f>B20</f>
        <v>5000</v>
      </c>
      <c r="G20" s="36">
        <v>2.5000000000000001E-2</v>
      </c>
      <c r="H20" s="9"/>
      <c r="I20" s="17" t="s">
        <v>23</v>
      </c>
      <c r="J20" s="35">
        <v>0</v>
      </c>
      <c r="K20" s="37">
        <v>2.5000000000000001E-2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>
      <c r="A21" s="27" t="s">
        <v>24</v>
      </c>
      <c r="B21" s="38">
        <f>SUM(B10:B20)</f>
        <v>134900</v>
      </c>
      <c r="C21" s="36"/>
      <c r="D21" s="9"/>
      <c r="E21" s="29" t="s">
        <v>24</v>
      </c>
      <c r="F21" s="38">
        <f>SUM(F10:F20)</f>
        <v>134900</v>
      </c>
      <c r="G21" s="36"/>
      <c r="H21" s="9"/>
      <c r="I21" s="29" t="s">
        <v>24</v>
      </c>
      <c r="J21" s="38">
        <f>SUM(J10:J20)</f>
        <v>155880</v>
      </c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>
      <c r="A22" s="27" t="s">
        <v>25</v>
      </c>
      <c r="B22" s="38">
        <f>30%*B5</f>
        <v>108000</v>
      </c>
      <c r="C22" s="36">
        <v>0</v>
      </c>
      <c r="D22" s="9"/>
      <c r="E22" s="29" t="s">
        <v>25</v>
      </c>
      <c r="F22" s="38">
        <f>30%*F5</f>
        <v>108000</v>
      </c>
      <c r="G22" s="36">
        <v>0</v>
      </c>
      <c r="H22" s="9"/>
      <c r="I22" s="29" t="s">
        <v>25</v>
      </c>
      <c r="J22" s="38">
        <f>30%*J5</f>
        <v>108000</v>
      </c>
      <c r="K22" s="37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>
      <c r="A23" s="27" t="s">
        <v>26</v>
      </c>
      <c r="B23" s="28">
        <f>B21+B22</f>
        <v>242900</v>
      </c>
      <c r="C23" s="36"/>
      <c r="D23" s="13"/>
      <c r="E23" s="29" t="s">
        <v>26</v>
      </c>
      <c r="F23" s="28">
        <f>F21+F22</f>
        <v>242900</v>
      </c>
      <c r="G23" s="39"/>
      <c r="H23" s="9"/>
      <c r="I23" s="29" t="s">
        <v>26</v>
      </c>
      <c r="J23" s="28">
        <f>J21+J22</f>
        <v>263880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40" t="s">
        <v>27</v>
      </c>
      <c r="B24" s="16">
        <f>B7-B23</f>
        <v>104500</v>
      </c>
      <c r="C24" s="36"/>
      <c r="D24" s="9"/>
      <c r="E24" s="41" t="s">
        <v>27</v>
      </c>
      <c r="F24" s="16">
        <f>F7-F23</f>
        <v>102700</v>
      </c>
      <c r="G24" s="36"/>
      <c r="H24" s="9"/>
      <c r="I24" s="41" t="s">
        <v>27</v>
      </c>
      <c r="J24" s="16">
        <f>J7-J23</f>
        <v>79920</v>
      </c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 s="40" t="s">
        <v>28</v>
      </c>
      <c r="B25" s="42">
        <v>1.2</v>
      </c>
      <c r="C25" s="36"/>
      <c r="D25" s="9"/>
      <c r="E25" s="41" t="s">
        <v>28</v>
      </c>
      <c r="F25" s="42">
        <v>1.2</v>
      </c>
      <c r="G25" s="36"/>
      <c r="H25" s="9"/>
      <c r="I25" s="41" t="s">
        <v>28</v>
      </c>
      <c r="J25" s="42">
        <v>1.2</v>
      </c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>
      <c r="A26" s="40" t="s">
        <v>29</v>
      </c>
      <c r="B26" s="16">
        <f>B24/B25</f>
        <v>87083.333333333343</v>
      </c>
      <c r="C26" s="29"/>
      <c r="D26" s="9"/>
      <c r="E26" s="41" t="s">
        <v>29</v>
      </c>
      <c r="F26" s="16">
        <f>F24/F25</f>
        <v>85583.333333333343</v>
      </c>
      <c r="G26" s="39"/>
      <c r="H26" s="9"/>
      <c r="I26" s="41" t="s">
        <v>29</v>
      </c>
      <c r="J26" s="16">
        <f>J24/J25</f>
        <v>66600</v>
      </c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5" t="s">
        <v>30</v>
      </c>
      <c r="B27" s="43">
        <v>15</v>
      </c>
      <c r="C27" s="43"/>
      <c r="D27" s="9"/>
      <c r="E27" s="17" t="s">
        <v>30</v>
      </c>
      <c r="F27" s="43">
        <v>15</v>
      </c>
      <c r="G27" s="43"/>
      <c r="H27" s="9"/>
      <c r="I27" s="17" t="s">
        <v>30</v>
      </c>
      <c r="J27" s="43">
        <v>15</v>
      </c>
      <c r="K27" s="4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5" t="s">
        <v>31</v>
      </c>
      <c r="B28" s="45">
        <v>4.4949999999999997E-2</v>
      </c>
      <c r="C28" s="46"/>
      <c r="D28" s="9"/>
      <c r="E28" s="17" t="s">
        <v>31</v>
      </c>
      <c r="F28" s="45">
        <v>4.4949999999999997E-2</v>
      </c>
      <c r="G28" s="46"/>
      <c r="H28" s="9"/>
      <c r="I28" s="17" t="s">
        <v>31</v>
      </c>
      <c r="J28" s="45">
        <v>4.4949999999999997E-2</v>
      </c>
      <c r="K28" s="4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5" t="s">
        <v>32</v>
      </c>
      <c r="B29" s="35">
        <f>-PV(B28/12,B27*12,B26/12)</f>
        <v>948945.46460656752</v>
      </c>
      <c r="C29" s="35"/>
      <c r="D29" s="9"/>
      <c r="E29" s="17" t="s">
        <v>32</v>
      </c>
      <c r="F29" s="35">
        <f>-PV(F28/12,F27*12,F26/12)</f>
        <v>932599.99248894246</v>
      </c>
      <c r="G29" s="35"/>
      <c r="H29" s="9"/>
      <c r="I29" s="17" t="s">
        <v>32</v>
      </c>
      <c r="J29" s="35">
        <f>-PV(J28/12,J27*12,J26/12)</f>
        <v>725738.96202255378</v>
      </c>
      <c r="K29" s="4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21" t="s">
        <v>33</v>
      </c>
      <c r="B30" s="49">
        <f>-PMT(B28/12,B27*12,B29)*12</f>
        <v>87083.333333333241</v>
      </c>
      <c r="C30" s="9"/>
      <c r="D30" s="9"/>
      <c r="E30" s="25" t="s">
        <v>33</v>
      </c>
      <c r="F30" s="49">
        <f>-PMT(F28/12,F27*12,F29)*12</f>
        <v>85583.333333333241</v>
      </c>
      <c r="G30" s="9"/>
      <c r="H30" s="9"/>
      <c r="I30" s="25" t="s">
        <v>33</v>
      </c>
      <c r="J30" s="49">
        <f>-PMT(J28/12,J27*12,J29)*12</f>
        <v>66599.999999999927</v>
      </c>
      <c r="K30" s="5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21" t="s">
        <v>34</v>
      </c>
      <c r="B31" s="51">
        <f>B24-B30</f>
        <v>17416.666666666759</v>
      </c>
      <c r="C31" s="23"/>
      <c r="D31" s="9"/>
      <c r="E31" s="25" t="s">
        <v>34</v>
      </c>
      <c r="F31" s="51">
        <f>F24-F30</f>
        <v>17116.666666666759</v>
      </c>
      <c r="G31" s="23"/>
      <c r="H31" s="9"/>
      <c r="I31" s="25" t="s">
        <v>34</v>
      </c>
      <c r="J31" s="51">
        <f>J24-J30</f>
        <v>13320.000000000073</v>
      </c>
      <c r="K31" s="2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>
      <c r="A32" s="27"/>
      <c r="B32" s="29"/>
      <c r="C32" s="29"/>
      <c r="D32" s="9"/>
      <c r="E32" s="29"/>
      <c r="F32" s="29"/>
      <c r="G32" s="29"/>
      <c r="H32" s="9"/>
      <c r="I32" s="29"/>
      <c r="J32" s="29"/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>
      <c r="A33" s="27" t="s">
        <v>35</v>
      </c>
      <c r="B33" s="52">
        <v>25000</v>
      </c>
      <c r="C33" s="29"/>
      <c r="D33" s="9"/>
      <c r="E33" s="29" t="s">
        <v>36</v>
      </c>
      <c r="F33" s="53">
        <v>10000</v>
      </c>
      <c r="G33" s="29"/>
      <c r="H33" s="9"/>
      <c r="I33" s="29" t="s">
        <v>37</v>
      </c>
      <c r="J33" s="54">
        <v>0</v>
      </c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2" t="s">
        <v>38</v>
      </c>
      <c r="B34" s="13">
        <v>1.2</v>
      </c>
      <c r="C34" s="9"/>
      <c r="D34" s="9"/>
      <c r="E34" s="13" t="s">
        <v>38</v>
      </c>
      <c r="F34" s="55">
        <f>F24/F30</f>
        <v>1.2000000000000013</v>
      </c>
      <c r="G34" s="9"/>
      <c r="H34" s="9"/>
      <c r="I34" s="13" t="s">
        <v>38</v>
      </c>
      <c r="J34" s="55">
        <f>J24/J30</f>
        <v>1.2000000000000013</v>
      </c>
      <c r="K34" s="5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>
      <c r="A35" s="21" t="s">
        <v>39</v>
      </c>
      <c r="B35" s="23">
        <f>IF(B34&lt;1,0,MIN(((B34-1)*20+B33/10000),10))</f>
        <v>6.4999999999999991</v>
      </c>
      <c r="C35" s="23"/>
      <c r="D35" s="9"/>
      <c r="E35" s="25" t="s">
        <v>39</v>
      </c>
      <c r="F35" s="56">
        <f>IF(F34&lt;1,0,MIN(((F34-1)*20+F33/10000),10))</f>
        <v>5.0000000000000258</v>
      </c>
      <c r="G35" s="23"/>
      <c r="H35" s="9"/>
      <c r="I35" s="25" t="s">
        <v>39</v>
      </c>
      <c r="J35" s="56">
        <f>IF(J34&lt;1,0,MIN(((J34-1)*20+J33/10000),10))</f>
        <v>4.0000000000000258</v>
      </c>
      <c r="K35" s="2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>
      <c r="A36" s="57"/>
      <c r="B36" s="23"/>
      <c r="C36" s="23"/>
      <c r="D36" s="9"/>
      <c r="E36" s="23"/>
      <c r="F36" s="23"/>
      <c r="G36" s="23"/>
      <c r="H36" s="9"/>
      <c r="I36" s="23"/>
      <c r="J36" s="23"/>
      <c r="K36" s="2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>
      <c r="A37" s="21" t="s">
        <v>40</v>
      </c>
      <c r="B37" s="58">
        <v>0.75</v>
      </c>
      <c r="C37" s="23"/>
      <c r="D37" s="9"/>
      <c r="E37" s="25" t="s">
        <v>40</v>
      </c>
      <c r="F37" s="58">
        <v>0.6</v>
      </c>
      <c r="G37" s="23"/>
      <c r="H37" s="9"/>
      <c r="I37" s="25" t="s">
        <v>40</v>
      </c>
      <c r="J37" s="58">
        <v>0.4</v>
      </c>
      <c r="K37" s="2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>
      <c r="A38" s="57"/>
      <c r="B38" s="23"/>
      <c r="C38" s="23"/>
      <c r="D38" s="9"/>
      <c r="E38" s="23"/>
      <c r="F38" s="23"/>
      <c r="G38" s="23"/>
      <c r="H38" s="9"/>
      <c r="I38" s="23"/>
      <c r="J38" s="23"/>
      <c r="K38" s="2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thickBot="1">
      <c r="A39" s="59" t="s">
        <v>41</v>
      </c>
      <c r="B39" s="60">
        <v>0.75</v>
      </c>
      <c r="C39" s="61"/>
      <c r="D39" s="62"/>
      <c r="E39" s="63" t="s">
        <v>41</v>
      </c>
      <c r="F39" s="60">
        <v>0.6</v>
      </c>
      <c r="G39" s="61"/>
      <c r="H39" s="62"/>
      <c r="I39" s="63" t="s">
        <v>41</v>
      </c>
      <c r="J39" s="60">
        <v>0.5</v>
      </c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/>
      <c r="C42" s="3"/>
      <c r="D42" s="1"/>
      <c r="E42" s="1"/>
      <c r="F42" s="1"/>
      <c r="G42" s="1"/>
      <c r="H42" s="1"/>
      <c r="I42" s="1"/>
      <c r="J42" s="3"/>
      <c r="K42" s="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 s="1"/>
      <c r="B43" s="1"/>
      <c r="C43" s="4"/>
      <c r="D43" s="1"/>
      <c r="E43" s="1"/>
      <c r="F43" s="1"/>
      <c r="G43" s="1"/>
      <c r="H43" s="1"/>
      <c r="I43" s="1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4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4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4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4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4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4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4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4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4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4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4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4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4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4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4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4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4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4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4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4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4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4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4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4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4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4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4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4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4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4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4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4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4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4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4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4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4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4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4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4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4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4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4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4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4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4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4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4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4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4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4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4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4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4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4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4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4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4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4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4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4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4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4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4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4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4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4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4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4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4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4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4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4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4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4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4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4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4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4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4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4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4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4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4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4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4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4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4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4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4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4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4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4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4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4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4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4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4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4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4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4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4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4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4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4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4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4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4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4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4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4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4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4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4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4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4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4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4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4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4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4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4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4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4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4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4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4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4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4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4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4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4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4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4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4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4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4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4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4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4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4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4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4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4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4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4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4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4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4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4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4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4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4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4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4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4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4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4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4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4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4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4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4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4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4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4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4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4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4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4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4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4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4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4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4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4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4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4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4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4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4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4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4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4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4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4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4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4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4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4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4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4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4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4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4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4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4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4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4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4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4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4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4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4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4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4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4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4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4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4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4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4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4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4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4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4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4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4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4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4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4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4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4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4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4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4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4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4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4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</sheetData>
  <mergeCells count="3">
    <mergeCell ref="A1:C1"/>
    <mergeCell ref="E1:G1"/>
    <mergeCell ref="I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Data Points</vt:lpstr>
    </vt:vector>
  </TitlesOfParts>
  <Company>CHPC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 Land</dc:creator>
  <cp:lastModifiedBy>Daniel P Land</cp:lastModifiedBy>
  <dcterms:created xsi:type="dcterms:W3CDTF">2016-11-17T16:05:07Z</dcterms:created>
  <dcterms:modified xsi:type="dcterms:W3CDTF">2016-11-17T16:22:12Z</dcterms:modified>
</cp:coreProperties>
</file>